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a859981cdff1dfdc/Documents/github.io/"/>
    </mc:Choice>
  </mc:AlternateContent>
  <xr:revisionPtr revIDLastSave="1" documentId="8_{045CD682-EA51-49E4-A1D0-E7286D452646}" xr6:coauthVersionLast="47" xr6:coauthVersionMax="47" xr10:uidLastSave="{B7C574E5-1CDC-4767-9048-BF056EFC860C}"/>
  <bookViews>
    <workbookView xWindow="-120" yWindow="-120" windowWidth="20730" windowHeight="11160" activeTab="2" xr2:uid="{D0BA71E7-4D71-4B85-AE34-A10C9406575F}"/>
  </bookViews>
  <sheets>
    <sheet name="Data &amp; Assumptions" sheetId="1" r:id="rId1"/>
    <sheet name="Forecast &amp; Scenarios" sheetId="2" r:id="rId2"/>
    <sheet name="Summary &amp; Insight" sheetId="3" r:id="rId3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7" i="3" l="1"/>
  <c r="E8" i="3"/>
  <c r="E9" i="3"/>
  <c r="E10" i="3"/>
  <c r="E11" i="3"/>
  <c r="D7" i="3"/>
  <c r="D8" i="3"/>
  <c r="D9" i="3"/>
  <c r="D10" i="3"/>
  <c r="D11" i="3"/>
  <c r="E6" i="3"/>
  <c r="D6" i="3"/>
  <c r="G21" i="2"/>
  <c r="F21" i="2"/>
  <c r="E21" i="2"/>
  <c r="D21" i="2"/>
  <c r="C21" i="2"/>
  <c r="B21" i="2"/>
  <c r="G20" i="2"/>
  <c r="F20" i="2"/>
  <c r="E20" i="2"/>
  <c r="C20" i="2"/>
  <c r="D20" i="2"/>
  <c r="B20" i="2"/>
  <c r="G19" i="2"/>
  <c r="F19" i="2"/>
  <c r="E19" i="2"/>
  <c r="D19" i="2"/>
  <c r="C19" i="2"/>
  <c r="B19" i="2"/>
  <c r="G18" i="2"/>
  <c r="F18" i="2"/>
  <c r="E18" i="2"/>
  <c r="D18" i="2"/>
  <c r="C18" i="2"/>
  <c r="B18" i="2"/>
  <c r="G17" i="2"/>
  <c r="F17" i="2"/>
  <c r="E17" i="2"/>
  <c r="D17" i="2"/>
  <c r="C17" i="2"/>
  <c r="B17" i="2"/>
  <c r="G13" i="2"/>
  <c r="C13" i="2"/>
  <c r="D13" i="2"/>
  <c r="E13" i="2"/>
  <c r="F13" i="2"/>
  <c r="B13" i="2"/>
  <c r="G12" i="2"/>
  <c r="C12" i="2"/>
  <c r="D12" i="2"/>
  <c r="E12" i="2"/>
  <c r="F12" i="2"/>
  <c r="B12" i="2"/>
  <c r="G11" i="2"/>
  <c r="C11" i="2"/>
  <c r="D11" i="2"/>
  <c r="E11" i="2"/>
  <c r="F11" i="2"/>
  <c r="B11" i="2"/>
  <c r="G10" i="2"/>
  <c r="F10" i="2"/>
  <c r="E10" i="2"/>
  <c r="D10" i="2"/>
  <c r="C10" i="2"/>
  <c r="B10" i="2"/>
  <c r="G9" i="2"/>
  <c r="F9" i="2"/>
  <c r="E9" i="2"/>
  <c r="D9" i="2"/>
  <c r="C9" i="2"/>
  <c r="B9" i="2"/>
  <c r="G8" i="2"/>
  <c r="C8" i="2"/>
  <c r="D8" i="2"/>
  <c r="E8" i="2"/>
  <c r="F8" i="2"/>
  <c r="B8" i="2"/>
  <c r="G7" i="2"/>
  <c r="F7" i="2"/>
  <c r="E7" i="2"/>
  <c r="D7" i="2"/>
  <c r="C7" i="2"/>
  <c r="B7" i="2"/>
  <c r="G6" i="2"/>
  <c r="F6" i="2"/>
  <c r="E6" i="2"/>
  <c r="D6" i="2"/>
  <c r="C6" i="2"/>
  <c r="B6" i="2"/>
  <c r="G6" i="1"/>
  <c r="G7" i="1"/>
  <c r="G8" i="1"/>
  <c r="G9" i="1"/>
  <c r="G10" i="1"/>
  <c r="G11" i="1"/>
  <c r="G15" i="1"/>
  <c r="G16" i="1"/>
  <c r="G17" i="1"/>
  <c r="G18" i="1"/>
  <c r="G19" i="1"/>
</calcChain>
</file>

<file path=xl/sharedStrings.xml><?xml version="1.0" encoding="utf-8"?>
<sst xmlns="http://schemas.openxmlformats.org/spreadsheetml/2006/main" count="148" uniqueCount="123">
  <si>
    <t>HDFC Bank — FP&amp;A Financial Forecasting Model</t>
  </si>
  <si>
    <t>Prepared by: Om Sandip Adhav | MBA Finance, ISBS Pune | Academic Project — FY2025</t>
  </si>
  <si>
    <t>SECTION 1 — HISTORICAL DATA (₹ Crore) | Actual figures from HDFC Bank Annual Reports</t>
  </si>
  <si>
    <t>Metric</t>
  </si>
  <si>
    <t>FY2020</t>
  </si>
  <si>
    <t>FY2021</t>
  </si>
  <si>
    <t>FY2022</t>
  </si>
  <si>
    <t>FY2023</t>
  </si>
  <si>
    <t>FY2024</t>
  </si>
  <si>
    <t>4-Yr Growth</t>
  </si>
  <si>
    <t>Notes</t>
  </si>
  <si>
    <t>Net Interest Income (NII)</t>
  </si>
  <si>
    <t>Other Income (Fee + Treasury)</t>
  </si>
  <si>
    <t>Total Revenue</t>
  </si>
  <si>
    <t>Operating Expenses</t>
  </si>
  <si>
    <t>Provisions &amp; Contingencies</t>
  </si>
  <si>
    <t>Profit After Tax (PAT)</t>
  </si>
  <si>
    <t xml:space="preserve"> </t>
  </si>
  <si>
    <t>SECTION 2 — KEY BANKING RATIOS | % figures</t>
  </si>
  <si>
    <t>Net Interest Margin (NIM %)</t>
  </si>
  <si>
    <t>Cost-to-Income Ratio (%)</t>
  </si>
  <si>
    <t>Return on Assets (ROA %)</t>
  </si>
  <si>
    <t>Return on Equity (ROE %)</t>
  </si>
  <si>
    <t>Gross NPA Ratio (GNPA %)</t>
  </si>
  <si>
    <t>SECTION 3 — MY FORECAST ASSUMPTIONS | Blue cells = my inputs. Based on historical trends + RBI outlook</t>
  </si>
  <si>
    <t>My Assumption</t>
  </si>
  <si>
    <t>FY2025E</t>
  </si>
  <si>
    <t>FY2026E</t>
  </si>
  <si>
    <t>FY2027E</t>
  </si>
  <si>
    <t>Pessimistic</t>
  </si>
  <si>
    <t>Realistic</t>
  </si>
  <si>
    <t>Optimistic</t>
  </si>
  <si>
    <t>How I derived this</t>
  </si>
  <si>
    <t>NII Growth Rate</t>
  </si>
  <si>
    <t>Other Income Growth</t>
  </si>
  <si>
    <t>Cost-to-Income Ratio</t>
  </si>
  <si>
    <t>Provision Rate (% of Revenue)</t>
  </si>
  <si>
    <t>Tax Rate</t>
  </si>
  <si>
    <t>This is the most important income line for any bank — HDFC earned ₹2.47L Cr just from the difference between what it charges borrowers and pays depositors in FY24</t>
  </si>
  <si>
    <t>Non-interest income like processing fees, insurance commissions and forex gains — this grew slower than NII which is normal for a bank focused on lending</t>
  </si>
  <si>
    <t>Combined income — I use this as the base to calculate Cost-to-Income ratio in my assumptions</t>
  </si>
  <si>
    <t>Includes staff salaries, technology investments and branch costs — went up sharply in FY24 due to HDFC merger integration costs</t>
  </si>
  <si>
    <t>Money kept aside for loans that may go bad — the low CAGR of 1.4% tells me HDFC's asset quality is strong and they didn't need to set aside much extra</t>
  </si>
  <si>
    <t>Bottom line profit — grew at 19.9% CAGR over 4 years which is impressive for a bank of this size</t>
  </si>
  <si>
    <t>Fell from 4.10% to 3.44% in FY24 — I think this is temporary due to the merger diluting the loan book. I expect recovery to ~4.1% by FY26</t>
  </si>
  <si>
    <t>This went up in FY24 to 40.2% because of merger costs — historically HDFC was below 40% which is excellent. My forecast assumes it comes back down</t>
  </si>
  <si>
    <t>At 1.98% this is among the best in Indian banking — tells me HDFC uses its assets very efficiently to generate profit</t>
  </si>
  <si>
    <t>17% ROE is strong — means every ₹100 of shareholder money generates ₹17 of profit. My base case forecasts this improving to 17.5% by FY27</t>
  </si>
  <si>
    <t>1.24% GNPA is excellent — much better than PSU banks which average 4%+ . This shows HDFC lends carefully and recovers well</t>
  </si>
  <si>
    <t>Historical NII grew at 19.1% CAGR — but I'm being conservative at 13% because the merger base is now much larger and RBI may cut rates</t>
  </si>
  <si>
    <t>Fee income faces competition from fintechs and UPI — so I assumed 9-10% growth, below the historical trend</t>
  </si>
  <si>
    <t>I expect merger integration costs to reduce each year — moving CIR from 40.2% toward 37.5% over 3 years is realistic based on what happened post ICICI-BoR merger</t>
  </si>
  <si>
    <t>HDFC's provision coverage ratio is strong at 74% — so I'm assuming provisions gradually reduce as the merged book seasons</t>
  </si>
  <si>
    <t>Standard 25% corporate tax — stable since FY20, no change expected in my forecast period</t>
  </si>
  <si>
    <t>HDFC Bank — 3-Year Forecast &amp; Scenario Analysis (FY2025E–FY2027E)</t>
  </si>
  <si>
    <t>Base Case = Realistic scenario | All formulas linked to Data &amp; Assumptions sheet</t>
  </si>
  <si>
    <t>PART A — BASE CASE FORECAST (₹ Crore) | Realistic Scenario</t>
  </si>
  <si>
    <t>FY2023A</t>
  </si>
  <si>
    <t>FY2024A</t>
  </si>
  <si>
    <t>FY24-27 CAGR</t>
  </si>
  <si>
    <t>My comment</t>
  </si>
  <si>
    <t>NII is my biggest forecast driver — a 1% change in growth rate moves PAT by almost ₹3,000 Cr</t>
  </si>
  <si>
    <t>Other Income</t>
  </si>
  <si>
    <t>owing slower than NII — I kept this conservative as UPI and fintechs are eating into fee income</t>
  </si>
  <si>
    <t>Simple sum of NII and Other Income — this is my revenue base for all cost calculations below</t>
  </si>
  <si>
    <t>I applied my Cost-to-Income ratio assumption directly to Total Revenue — as CIR improves from 40.2% to 37.5% this line grows slower than revenue which is the key profit driver</t>
  </si>
  <si>
    <t>Calculated as % of Total Revenue using my provision rate assumption — declining as asset quality improves post merger</t>
  </si>
  <si>
    <t>Profit Before Tax (PBT)</t>
  </si>
  <si>
    <t>Revenue minus all costs — this grows faster than revenue because my CIR assumption improves each year</t>
  </si>
  <si>
    <t>Tax (@ 25%)</t>
  </si>
  <si>
    <t>Standard 25% tax applied to PBT — straight forward, no deferred tax adjustments in this model</t>
  </si>
  <si>
    <t>My base case PAT forecast — growing at ~21% CAGR driven by improving margins and stable asset quality</t>
  </si>
  <si>
    <t>PART B — SCENARIO COMPARISON FOR FY2027E | Pessimistic / Realistic / Optimistic</t>
  </si>
  <si>
    <t>FY2024 Actual</t>
  </si>
  <si>
    <t>Pessimistic FY27E</t>
  </si>
  <si>
    <t>Realistic FY27E</t>
  </si>
  <si>
    <t>Optimistic FY27E</t>
  </si>
  <si>
    <t>Pess. vs Real.</t>
  </si>
  <si>
    <t>Opt. vs Real.</t>
  </si>
  <si>
    <t>My View</t>
  </si>
  <si>
    <t>Revenue gap between pessimistic and optimistic widens to almost ₹80,000 Cr by FY27 — shows how sensitive the model is</t>
  </si>
  <si>
    <t>NII is the biggest driver — growth rate assumption is the single most important input in my model</t>
  </si>
  <si>
    <t>PAT is most sensitive to CIR and provision assumptions — optimistic case is almost 18% higher than pessimistic</t>
  </si>
  <si>
    <t>ROE (%)</t>
  </si>
  <si>
    <t>ROE improves as merger synergies flow through and CIR reduces — optimistic case reaches 19%</t>
  </si>
  <si>
    <t>GNPA Ratio (%)</t>
  </si>
  <si>
    <t>Asset quality is my biggest risk assumption — if slippages rise due to RBI rate cuts the pessimistic case kicks in</t>
  </si>
  <si>
    <t>HDFC Bank — My Key Findings &amp; Analyst Commentary</t>
  </si>
  <si>
    <t>Om Sandip Adhav | MBA Finance FY2025 | Academic FP&amp;A Project</t>
  </si>
  <si>
    <t>PART A — BUDGET vs ACTUAL VARIANCE ANALYSIS (FY2024)</t>
  </si>
  <si>
    <t>What I Budgeted (FY2024)</t>
  </si>
  <si>
    <t>What Actually Happened</t>
  </si>
  <si>
    <t>Variance (₹ Cr)</t>
  </si>
  <si>
    <t>Variance %</t>
  </si>
  <si>
    <t>Net Interest Income</t>
  </si>
  <si>
    <t>Provisions</t>
  </si>
  <si>
    <t>Profit After Tax</t>
  </si>
  <si>
    <t>What this tells me</t>
  </si>
  <si>
    <t>PART B — MY KEY FINDINGS FROM THIS ANALYSIS</t>
  </si>
  <si>
    <t>Finding 1</t>
  </si>
  <si>
    <t>HDFC Bank's NII grew at an 18% CAGR over FY2020–FY2024, driven by advances growth and the HDFC Ltd merger in FY2024. This is the strongest growth among large Indian private banks.</t>
  </si>
  <si>
    <t>Finding 2</t>
  </si>
  <si>
    <t>Despite the merger, asset quality remained stable — GNPA held at 1.24% (FY2024), which is significantly better than PSU banks (avg ~4%). This shows HDFC's strong credit underwriting.</t>
  </si>
  <si>
    <t>Finding 3</t>
  </si>
  <si>
    <t>My base case projects PAT CAGR of ~15% through FY2027E, assuming merger synergies reduce the Cost-to-Income ratio from 40.2% to 37.5% over 3 years.</t>
  </si>
  <si>
    <t>Finding 4</t>
  </si>
  <si>
    <t>The biggest risk to my forecast is NIM compression — if interest rates fall due to RBI rate cuts, NII growth could slow to the pessimistic scenario (8% p.a.), cutting PAT by ~18%.</t>
  </si>
  <si>
    <t>Finding 5</t>
  </si>
  <si>
    <t>HDFC Bank trades at a premium valuation vs peers (P/B ~3.5x) justified by superior ROE (17%), best-in-class asset quality, and market leadership in retail and home loans.</t>
  </si>
  <si>
    <t>PART C — WHAT I LEARNED FROM BUILDING THIS MODEL</t>
  </si>
  <si>
    <t>1. How to read a bank's Annual Report — specifically the NII schedule, CASA ratio, and NPA disclosures</t>
  </si>
  <si>
    <t>2. The difference between NIM (Net Interest Margin) and spread — and why NIM is the most watched metric for banks</t>
  </si>
  <si>
    <t>3. How to build a simple top-down revenue forecast starting from loan book growth assumptions</t>
  </si>
  <si>
    <t>4. Why Cost-to-Income ratio matters more for banks than EBITDA margin (which is used for non-financial companies)</t>
  </si>
  <si>
    <t>5. How scenario analysis helps stress-test assumptions and understand the range of outcomes — not just one number</t>
  </si>
  <si>
    <t>6. The impact of the HDFC-HDFC Ltd merger on the balance sheet — and why integration costs temporarily raised the CIR</t>
  </si>
  <si>
    <t>Disclaimer: This is an academic project. All forecasts are my own estimates based on publicly available data. Not investment advice.</t>
  </si>
  <si>
    <t>HDFC-HDFC Ltd merger drove higher NII than I expected — synergies came faster</t>
  </si>
  <si>
    <t>Fee income from insurance and credit cards grew strongly — I was too conservative</t>
  </si>
  <si>
    <t>Beat on both lines — revenue quality is improving post merger</t>
  </si>
  <si>
    <t>Integration costs were higher than budgeted — merger added more opex than expected</t>
  </si>
  <si>
    <t>Slightly elevated — merged book had some legacy stress that needed coverage</t>
  </si>
  <si>
    <t>Beat overall despite higher costs — core business is very strong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</si>
</sst>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;\(#,##0\);\-"/>
    <numFmt numFmtId="165" formatCode="#,##0;\(#,##0\);&quot;-&quot;"/>
    <numFmt numFmtId="166" formatCode="0.0%"/>
  </numFmts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002060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9"/>
      <color rgb="FFFFFFFF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0000FF"/>
      <name val="Arial"/>
      <family val="2"/>
    </font>
    <font>
      <b/>
      <sz val="10"/>
      <color rgb="FFFFFFFF"/>
      <name val="Arial"/>
      <family val="2"/>
    </font>
    <font>
      <b/>
      <sz val="13"/>
      <color rgb="FF0F1F35"/>
      <name val="Arial"/>
      <family val="2"/>
    </font>
    <font>
      <i/>
      <sz val="9"/>
      <color rgb="FF666666"/>
      <name val="Arial"/>
      <family val="2"/>
    </font>
    <font>
      <b/>
      <sz val="9"/>
      <color rgb="FFFFFFFF"/>
      <name val="Arial"/>
      <charset val="1"/>
    </font>
    <font>
      <sz val="9"/>
      <color rgb="FF0000FF"/>
      <name val="Arial"/>
      <charset val="1"/>
    </font>
    <font>
      <b/>
      <sz val="10"/>
      <color rgb="FFFFFFFF"/>
      <name val="Arial"/>
      <charset val="1"/>
    </font>
    <font>
      <b/>
      <sz val="9"/>
      <color rgb="FF0F1F35"/>
      <name val="Arial"/>
      <charset val="1"/>
    </font>
    <font>
      <i/>
      <sz val="10"/>
      <color rgb="FF999999"/>
      <name val="Arial"/>
      <family val="2"/>
    </font>
  </fonts>
  <fills count="1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rgb="FF1F4E79"/>
        <bgColor rgb="FF444444"/>
      </patternFill>
    </fill>
    <fill>
      <patternFill patternType="solid">
        <fgColor rgb="FFFFFFFF"/>
        <bgColor rgb="FFFFF8E7"/>
      </patternFill>
    </fill>
    <fill>
      <patternFill patternType="solid">
        <fgColor rgb="FFF2F2F2"/>
        <bgColor rgb="FFFFF8E7"/>
      </patternFill>
    </fill>
    <fill>
      <patternFill patternType="solid">
        <fgColor rgb="FFE2EFDA"/>
        <bgColor rgb="FFF2F2F2"/>
      </patternFill>
    </fill>
    <fill>
      <patternFill patternType="solid">
        <fgColor theme="0" tint="-4.9989318521683403E-2"/>
        <bgColor rgb="FFFFF8E7"/>
      </patternFill>
    </fill>
    <fill>
      <patternFill patternType="solid">
        <fgColor theme="2"/>
        <bgColor rgb="FFF2F2F2"/>
      </patternFill>
    </fill>
    <fill>
      <patternFill patternType="solid">
        <fgColor rgb="FF0F1F35"/>
        <bgColor rgb="FF003300"/>
      </patternFill>
    </fill>
    <fill>
      <patternFill patternType="solid">
        <fgColor rgb="FFDDEEFF"/>
        <bgColor rgb="FFE2EFDA"/>
      </patternFill>
    </fill>
    <fill>
      <patternFill patternType="solid">
        <fgColor rgb="FFFFF8E7"/>
        <bgColor rgb="FFF2F2F2"/>
      </patternFill>
    </fill>
  </fills>
  <borders count="5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Alignment="1">
      <alignment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5" fillId="6" borderId="1" xfId="0" applyFont="1" applyFill="1" applyBorder="1"/>
    <xf numFmtId="0" fontId="6" fillId="7" borderId="1" xfId="0" applyFont="1" applyFill="1" applyBorder="1"/>
    <xf numFmtId="166" fontId="0" fillId="0" borderId="0" xfId="0" applyNumberFormat="1"/>
    <xf numFmtId="0" fontId="4" fillId="5" borderId="3" xfId="0" applyFont="1" applyFill="1" applyBorder="1" applyAlignment="1">
      <alignment horizontal="center" vertical="center" wrapText="1"/>
    </xf>
    <xf numFmtId="165" fontId="7" fillId="6" borderId="2" xfId="0" applyNumberFormat="1" applyFont="1" applyFill="1" applyBorder="1" applyAlignment="1">
      <alignment horizontal="center" vertical="center" wrapText="1"/>
    </xf>
    <xf numFmtId="164" fontId="7" fillId="6" borderId="2" xfId="0" applyNumberFormat="1" applyFont="1" applyFill="1" applyBorder="1" applyAlignment="1">
      <alignment horizontal="center" vertical="center" wrapText="1"/>
    </xf>
    <xf numFmtId="164" fontId="7" fillId="8" borderId="2" xfId="0" applyNumberFormat="1" applyFont="1" applyFill="1" applyBorder="1" applyAlignment="1">
      <alignment horizontal="center" vertical="center" wrapText="1"/>
    </xf>
    <xf numFmtId="164" fontId="7" fillId="10" borderId="2" xfId="0" applyNumberFormat="1" applyFont="1" applyFill="1" applyBorder="1" applyAlignment="1">
      <alignment horizontal="center" vertical="center" wrapText="1"/>
    </xf>
    <xf numFmtId="0" fontId="5" fillId="6" borderId="2" xfId="0" applyFont="1" applyFill="1" applyBorder="1"/>
    <xf numFmtId="166" fontId="0" fillId="0" borderId="2" xfId="0" applyNumberFormat="1" applyBorder="1"/>
    <xf numFmtId="0" fontId="6" fillId="7" borderId="2" xfId="0" applyFont="1" applyFill="1" applyBorder="1"/>
    <xf numFmtId="10" fontId="7" fillId="0" borderId="2" xfId="0" applyNumberFormat="1" applyFont="1" applyBorder="1" applyAlignment="1">
      <alignment horizontal="center" vertical="center" wrapText="1"/>
    </xf>
    <xf numFmtId="166" fontId="7" fillId="12" borderId="2" xfId="0" applyNumberFormat="1" applyFont="1" applyFill="1" applyBorder="1" applyAlignment="1">
      <alignment horizontal="center" vertical="center" wrapText="1"/>
    </xf>
    <xf numFmtId="165" fontId="0" fillId="0" borderId="0" xfId="0" applyNumberFormat="1"/>
    <xf numFmtId="165" fontId="0" fillId="0" borderId="0" xfId="0" quotePrefix="1" applyNumberFormat="1"/>
    <xf numFmtId="165" fontId="1" fillId="3" borderId="0" xfId="0" applyNumberFormat="1" applyFont="1" applyFill="1"/>
    <xf numFmtId="166" fontId="1" fillId="3" borderId="0" xfId="0" applyNumberFormat="1" applyFont="1" applyFill="1"/>
    <xf numFmtId="165" fontId="0" fillId="3" borderId="0" xfId="0" applyNumberFormat="1" applyFill="1"/>
    <xf numFmtId="166" fontId="0" fillId="3" borderId="0" xfId="0" applyNumberFormat="1" applyFill="1"/>
    <xf numFmtId="0" fontId="6" fillId="9" borderId="1" xfId="0" applyFont="1" applyFill="1" applyBorder="1"/>
    <xf numFmtId="1" fontId="0" fillId="0" borderId="0" xfId="0" applyNumberFormat="1"/>
    <xf numFmtId="10" fontId="0" fillId="0" borderId="0" xfId="0" applyNumberFormat="1"/>
    <xf numFmtId="0" fontId="11" fillId="5" borderId="1" xfId="0" applyFont="1" applyFill="1" applyBorder="1" applyAlignment="1">
      <alignment horizontal="center" vertical="center" wrapText="1"/>
    </xf>
    <xf numFmtId="164" fontId="12" fillId="0" borderId="1" xfId="0" applyNumberFormat="1" applyFont="1" applyBorder="1" applyAlignment="1">
      <alignment horizontal="center" vertical="center" wrapText="1"/>
    </xf>
    <xf numFmtId="164" fontId="0" fillId="0" borderId="0" xfId="0" applyNumberFormat="1"/>
    <xf numFmtId="0" fontId="14" fillId="12" borderId="1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  <xf numFmtId="0" fontId="2" fillId="2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3" fillId="4" borderId="0" xfId="0" applyFont="1" applyFill="1" applyAlignment="1">
      <alignment horizontal="center"/>
    </xf>
    <xf numFmtId="0" fontId="8" fillId="11" borderId="0" xfId="0" applyFont="1" applyFill="1" applyAlignment="1">
      <alignment horizontal="left" vertical="center" wrapText="1"/>
    </xf>
    <xf numFmtId="0" fontId="9" fillId="13" borderId="0" xfId="0" applyFont="1" applyFill="1" applyAlignment="1">
      <alignment horizontal="center" vertical="center" wrapText="1"/>
    </xf>
    <xf numFmtId="0" fontId="10" fillId="13" borderId="0" xfId="0" applyFont="1" applyFill="1" applyAlignment="1">
      <alignment horizontal="center" vertical="center" wrapText="1"/>
    </xf>
    <xf numFmtId="0" fontId="13" fillId="11" borderId="0" xfId="0" applyFont="1" applyFill="1" applyAlignment="1">
      <alignment horizontal="left" vertical="center" wrapText="1"/>
    </xf>
    <xf numFmtId="0" fontId="0" fillId="0" borderId="0" xfId="0" applyAlignment="1">
      <alignment horizontal="left"/>
    </xf>
    <xf numFmtId="0" fontId="0" fillId="2" borderId="0" xfId="0" applyFill="1" applyAlignment="1">
      <alignment horizontal="left"/>
    </xf>
    <xf numFmtId="0" fontId="0" fillId="2" borderId="4" xfId="0" applyFill="1" applyBorder="1" applyAlignment="1">
      <alignment horizontal="left"/>
    </xf>
    <xf numFmtId="0" fontId="15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739D9E-9046-4AE7-B63F-11830DFE6A94}">
  <dimension ref="A1:H27"/>
  <sheetViews>
    <sheetView workbookViewId="0">
      <selection sqref="A1:H1"/>
    </sheetView>
  </sheetViews>
  <sheetFormatPr defaultRowHeight="15" x14ac:dyDescent="0.25"/>
  <cols>
    <col min="8" max="8" width="151.42578125" bestFit="1" customWidth="1"/>
  </cols>
  <sheetData>
    <row r="1" spans="1:8" ht="18.75" x14ac:dyDescent="0.3">
      <c r="A1" s="31" t="s">
        <v>0</v>
      </c>
      <c r="B1" s="31"/>
      <c r="C1" s="31"/>
      <c r="D1" s="31"/>
      <c r="E1" s="31"/>
      <c r="F1" s="31"/>
      <c r="G1" s="31"/>
      <c r="H1" s="31"/>
    </row>
    <row r="2" spans="1:8" x14ac:dyDescent="0.25">
      <c r="A2" s="32" t="s">
        <v>1</v>
      </c>
      <c r="B2" s="32"/>
      <c r="C2" s="32"/>
      <c r="D2" s="32"/>
      <c r="E2" s="32"/>
      <c r="F2" s="32"/>
      <c r="G2" s="32"/>
      <c r="H2" s="32"/>
    </row>
    <row r="4" spans="1:8" x14ac:dyDescent="0.25">
      <c r="A4" s="33" t="s">
        <v>2</v>
      </c>
      <c r="B4" s="33"/>
      <c r="C4" s="33"/>
      <c r="D4" s="33"/>
      <c r="E4" s="33"/>
      <c r="F4" s="33"/>
      <c r="G4" s="33"/>
      <c r="H4" s="33"/>
    </row>
    <row r="5" spans="1:8" ht="24" x14ac:dyDescent="0.25">
      <c r="A5" s="6" t="s">
        <v>3</v>
      </c>
      <c r="B5" s="6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</row>
    <row r="6" spans="1:8" x14ac:dyDescent="0.25">
      <c r="A6" s="11" t="s">
        <v>11</v>
      </c>
      <c r="B6" s="7">
        <v>122983</v>
      </c>
      <c r="C6" s="7">
        <v>139445</v>
      </c>
      <c r="D6" s="7">
        <v>162614</v>
      </c>
      <c r="E6" s="7">
        <v>205866</v>
      </c>
      <c r="F6" s="7">
        <v>247129</v>
      </c>
      <c r="G6" s="12">
        <f t="shared" ref="G6:G11" si="0">IFERROR((F6/B6)^(1/4)-1,0)</f>
        <v>0.19061036008477616</v>
      </c>
      <c r="H6" t="s">
        <v>38</v>
      </c>
    </row>
    <row r="7" spans="1:8" x14ac:dyDescent="0.25">
      <c r="A7" s="11" t="s">
        <v>12</v>
      </c>
      <c r="B7" s="8">
        <v>27565</v>
      </c>
      <c r="C7" s="8">
        <v>27398</v>
      </c>
      <c r="D7" s="8">
        <v>30445</v>
      </c>
      <c r="E7" s="8">
        <v>39882</v>
      </c>
      <c r="F7" s="8">
        <v>46000</v>
      </c>
      <c r="G7" s="12">
        <f t="shared" si="0"/>
        <v>0.13657986670844835</v>
      </c>
      <c r="H7" t="s">
        <v>39</v>
      </c>
    </row>
    <row r="8" spans="1:8" x14ac:dyDescent="0.25">
      <c r="A8" s="13" t="s">
        <v>13</v>
      </c>
      <c r="B8" s="9">
        <v>150548</v>
      </c>
      <c r="C8" s="9">
        <v>166843</v>
      </c>
      <c r="D8" s="9">
        <v>193059</v>
      </c>
      <c r="E8" s="9">
        <v>245748</v>
      </c>
      <c r="F8" s="9">
        <v>293129</v>
      </c>
      <c r="G8" s="12">
        <f t="shared" si="0"/>
        <v>0.18126122654796872</v>
      </c>
      <c r="H8" t="s">
        <v>40</v>
      </c>
    </row>
    <row r="9" spans="1:8" x14ac:dyDescent="0.25">
      <c r="A9" s="11" t="s">
        <v>14</v>
      </c>
      <c r="B9" s="8">
        <v>59466</v>
      </c>
      <c r="C9" s="8">
        <v>62736</v>
      </c>
      <c r="D9" s="8">
        <v>75261</v>
      </c>
      <c r="E9" s="8">
        <v>97601</v>
      </c>
      <c r="F9" s="8">
        <v>117707</v>
      </c>
      <c r="G9" s="12">
        <f t="shared" si="0"/>
        <v>0.18613300632185625</v>
      </c>
      <c r="H9" t="s">
        <v>41</v>
      </c>
    </row>
    <row r="10" spans="1:8" x14ac:dyDescent="0.25">
      <c r="A10" s="11" t="s">
        <v>15</v>
      </c>
      <c r="B10" s="8">
        <v>12767</v>
      </c>
      <c r="C10" s="8">
        <v>15333</v>
      </c>
      <c r="D10" s="8">
        <v>9894</v>
      </c>
      <c r="E10" s="8">
        <v>11023</v>
      </c>
      <c r="F10" s="8">
        <v>13511</v>
      </c>
      <c r="G10" s="12">
        <f t="shared" si="0"/>
        <v>1.4260842193160927E-2</v>
      </c>
      <c r="H10" t="s">
        <v>42</v>
      </c>
    </row>
    <row r="11" spans="1:8" x14ac:dyDescent="0.25">
      <c r="A11" s="13" t="s">
        <v>16</v>
      </c>
      <c r="B11" s="9">
        <v>58677</v>
      </c>
      <c r="C11" s="9">
        <v>66485</v>
      </c>
      <c r="D11" s="9">
        <v>80831</v>
      </c>
      <c r="E11" s="10">
        <v>102743</v>
      </c>
      <c r="F11" s="10">
        <v>121420</v>
      </c>
      <c r="G11" s="12">
        <f t="shared" si="0"/>
        <v>0.19937662856030225</v>
      </c>
      <c r="H11" t="s">
        <v>43</v>
      </c>
    </row>
    <row r="12" spans="1:8" x14ac:dyDescent="0.25">
      <c r="A12" s="1"/>
      <c r="B12" s="1"/>
    </row>
    <row r="13" spans="1:8" x14ac:dyDescent="0.25">
      <c r="A13" s="34" t="s">
        <v>18</v>
      </c>
      <c r="B13" s="34"/>
      <c r="C13" s="34"/>
      <c r="D13" s="34"/>
      <c r="E13" s="34"/>
      <c r="F13" s="34"/>
      <c r="G13" s="34"/>
      <c r="H13" s="34"/>
    </row>
    <row r="14" spans="1:8" ht="24" x14ac:dyDescent="0.25">
      <c r="A14" s="6" t="s">
        <v>3</v>
      </c>
      <c r="B14" s="6" t="s">
        <v>4</v>
      </c>
      <c r="C14" s="6" t="s">
        <v>5</v>
      </c>
      <c r="D14" s="6" t="s">
        <v>6</v>
      </c>
      <c r="E14" s="6" t="s">
        <v>7</v>
      </c>
      <c r="F14" s="6" t="s">
        <v>8</v>
      </c>
      <c r="G14" s="6" t="s">
        <v>9</v>
      </c>
      <c r="H14" s="6" t="s">
        <v>10</v>
      </c>
    </row>
    <row r="15" spans="1:8" x14ac:dyDescent="0.25">
      <c r="A15" s="13" t="s">
        <v>19</v>
      </c>
      <c r="B15" s="14">
        <v>3.8899999999999997E-2</v>
      </c>
      <c r="C15" s="14">
        <v>4.1000000000000002E-2</v>
      </c>
      <c r="D15" s="14">
        <v>0.04</v>
      </c>
      <c r="E15" s="14">
        <v>4.1000000000000002E-2</v>
      </c>
      <c r="F15" s="14">
        <v>3.44E-2</v>
      </c>
      <c r="G15" s="12">
        <f>IFERROR((F15/B15)^(1/4)-1,0)</f>
        <v>-3.0266920922374485E-2</v>
      </c>
      <c r="H15" t="s">
        <v>44</v>
      </c>
    </row>
    <row r="16" spans="1:8" x14ac:dyDescent="0.25">
      <c r="A16" s="13" t="s">
        <v>20</v>
      </c>
      <c r="B16" s="14">
        <v>0.39500000000000002</v>
      </c>
      <c r="C16" s="14">
        <v>0.376</v>
      </c>
      <c r="D16" s="14">
        <v>0.39</v>
      </c>
      <c r="E16" s="14">
        <v>0.39700000000000002</v>
      </c>
      <c r="F16" s="14">
        <v>0.40200000000000002</v>
      </c>
      <c r="G16" s="12">
        <f>IFERROR((F16/B16)^(1/4)-1,0)</f>
        <v>4.4012380525089156E-3</v>
      </c>
      <c r="H16" t="s">
        <v>45</v>
      </c>
    </row>
    <row r="17" spans="1:8" x14ac:dyDescent="0.25">
      <c r="A17" s="13" t="s">
        <v>21</v>
      </c>
      <c r="B17" s="14">
        <v>1.83E-2</v>
      </c>
      <c r="C17" s="14">
        <v>1.9E-2</v>
      </c>
      <c r="D17" s="14">
        <v>1.9400000000000001E-2</v>
      </c>
      <c r="E17" s="14">
        <v>2.1000000000000001E-2</v>
      </c>
      <c r="F17" s="14">
        <v>1.9800000000000002E-2</v>
      </c>
      <c r="G17" s="12">
        <f>IFERROR((F17/B17)^(1/4)-1,0)</f>
        <v>1.9890449893815942E-2</v>
      </c>
      <c r="H17" t="s">
        <v>46</v>
      </c>
    </row>
    <row r="18" spans="1:8" x14ac:dyDescent="0.25">
      <c r="A18" s="13" t="s">
        <v>22</v>
      </c>
      <c r="B18" s="14">
        <v>0.14799999999999999</v>
      </c>
      <c r="C18" s="14">
        <v>0.16</v>
      </c>
      <c r="D18" s="14">
        <v>0.16300000000000001</v>
      </c>
      <c r="E18" s="14">
        <v>0.17599999999999999</v>
      </c>
      <c r="F18" s="14">
        <v>0.17</v>
      </c>
      <c r="G18" s="12">
        <f>IFERROR((F18/B18)^(1/4)-1,0)</f>
        <v>3.5253724192270131E-2</v>
      </c>
      <c r="H18" t="s">
        <v>47</v>
      </c>
    </row>
    <row r="19" spans="1:8" x14ac:dyDescent="0.25">
      <c r="A19" s="13" t="s">
        <v>23</v>
      </c>
      <c r="B19" s="14">
        <v>1.26E-2</v>
      </c>
      <c r="C19" s="14">
        <v>1.32E-2</v>
      </c>
      <c r="D19" s="14">
        <v>1.17E-2</v>
      </c>
      <c r="E19" s="14">
        <v>1.12E-2</v>
      </c>
      <c r="F19" s="14">
        <v>1.24E-2</v>
      </c>
      <c r="G19" s="12">
        <f>IFERROR((F19/B19)^(1/4)-1,0)</f>
        <v>-3.9920956519505779E-3</v>
      </c>
      <c r="H19" t="s">
        <v>48</v>
      </c>
    </row>
    <row r="21" spans="1:8" x14ac:dyDescent="0.25">
      <c r="A21" s="34" t="s">
        <v>24</v>
      </c>
      <c r="B21" s="34"/>
      <c r="C21" s="34"/>
      <c r="D21" s="34"/>
      <c r="E21" s="34"/>
      <c r="F21" s="34"/>
      <c r="G21" s="34"/>
      <c r="H21" s="34"/>
    </row>
    <row r="22" spans="1:8" ht="36" x14ac:dyDescent="0.25">
      <c r="A22" s="6" t="s">
        <v>25</v>
      </c>
      <c r="B22" s="6" t="s">
        <v>26</v>
      </c>
      <c r="C22" s="6" t="s">
        <v>27</v>
      </c>
      <c r="D22" s="6" t="s">
        <v>28</v>
      </c>
      <c r="E22" s="6" t="s">
        <v>29</v>
      </c>
      <c r="F22" s="6" t="s">
        <v>30</v>
      </c>
      <c r="G22" s="6" t="s">
        <v>31</v>
      </c>
      <c r="H22" s="6" t="s">
        <v>32</v>
      </c>
    </row>
    <row r="23" spans="1:8" x14ac:dyDescent="0.25">
      <c r="A23" s="13" t="s">
        <v>33</v>
      </c>
      <c r="B23" s="15">
        <v>0.14000000000000001</v>
      </c>
      <c r="C23" s="15">
        <v>0.13</v>
      </c>
      <c r="D23" s="15">
        <v>0.12</v>
      </c>
      <c r="E23" s="15">
        <v>0.08</v>
      </c>
      <c r="F23" s="15">
        <v>0.13</v>
      </c>
      <c r="G23" s="15">
        <v>0.17</v>
      </c>
      <c r="H23" t="s">
        <v>49</v>
      </c>
    </row>
    <row r="24" spans="1:8" x14ac:dyDescent="0.25">
      <c r="A24" s="13" t="s">
        <v>34</v>
      </c>
      <c r="B24" s="15">
        <v>0.1</v>
      </c>
      <c r="C24" s="15">
        <v>0.09</v>
      </c>
      <c r="D24" s="15">
        <v>0.09</v>
      </c>
      <c r="E24" s="15">
        <v>0.06</v>
      </c>
      <c r="F24" s="15">
        <v>0.09</v>
      </c>
      <c r="G24" s="15">
        <v>0.13</v>
      </c>
      <c r="H24" t="s">
        <v>50</v>
      </c>
    </row>
    <row r="25" spans="1:8" x14ac:dyDescent="0.25">
      <c r="A25" s="13" t="s">
        <v>35</v>
      </c>
      <c r="B25" s="15">
        <v>0.39500000000000002</v>
      </c>
      <c r="C25" s="15">
        <v>0.38500000000000001</v>
      </c>
      <c r="D25" s="15">
        <v>0.375</v>
      </c>
      <c r="E25" s="15">
        <v>0.42</v>
      </c>
      <c r="F25" s="15">
        <v>0.39</v>
      </c>
      <c r="G25" s="15">
        <v>0.36</v>
      </c>
      <c r="H25" t="s">
        <v>51</v>
      </c>
    </row>
    <row r="26" spans="1:8" x14ac:dyDescent="0.25">
      <c r="A26" s="13" t="s">
        <v>36</v>
      </c>
      <c r="B26" s="15">
        <v>4.5999999999999999E-2</v>
      </c>
      <c r="C26" s="15">
        <v>4.3999999999999997E-2</v>
      </c>
      <c r="D26" s="15">
        <v>4.2000000000000003E-2</v>
      </c>
      <c r="E26" s="15">
        <v>0.06</v>
      </c>
      <c r="F26" s="15">
        <v>4.5999999999999999E-2</v>
      </c>
      <c r="G26" s="15">
        <v>3.5000000000000003E-2</v>
      </c>
      <c r="H26" t="s">
        <v>52</v>
      </c>
    </row>
    <row r="27" spans="1:8" x14ac:dyDescent="0.25">
      <c r="A27" s="13" t="s">
        <v>37</v>
      </c>
      <c r="B27" s="15">
        <v>0.25</v>
      </c>
      <c r="C27" s="15">
        <v>0.25</v>
      </c>
      <c r="D27" s="15">
        <v>0.25</v>
      </c>
      <c r="E27" s="15">
        <v>0.25</v>
      </c>
      <c r="F27" s="15">
        <v>0.25</v>
      </c>
      <c r="G27" s="15">
        <v>0.25</v>
      </c>
      <c r="H27" t="s">
        <v>53</v>
      </c>
    </row>
  </sheetData>
  <mergeCells count="5">
    <mergeCell ref="A1:H1"/>
    <mergeCell ref="A2:H2"/>
    <mergeCell ref="A4:H4"/>
    <mergeCell ref="A13:H13"/>
    <mergeCell ref="A21:H2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B3E3EE-8726-45EC-BC24-31DB31736965}">
  <dimension ref="A1:H1048576"/>
  <sheetViews>
    <sheetView workbookViewId="0">
      <selection activeCell="A18" sqref="A18"/>
    </sheetView>
  </sheetViews>
  <sheetFormatPr defaultRowHeight="15" x14ac:dyDescent="0.25"/>
  <cols>
    <col min="1" max="1" width="23.140625" bestFit="1" customWidth="1"/>
    <col min="8" max="8" width="161.5703125" bestFit="1" customWidth="1"/>
  </cols>
  <sheetData>
    <row r="1" spans="1:8" ht="16.5" x14ac:dyDescent="0.25">
      <c r="A1" s="35" t="s">
        <v>54</v>
      </c>
      <c r="B1" s="35"/>
      <c r="C1" s="35"/>
      <c r="D1" s="35"/>
      <c r="E1" s="35"/>
      <c r="F1" s="35"/>
      <c r="G1" s="35"/>
      <c r="H1" s="35"/>
    </row>
    <row r="2" spans="1:8" x14ac:dyDescent="0.25">
      <c r="A2" s="36" t="s">
        <v>55</v>
      </c>
      <c r="B2" s="36"/>
      <c r="C2" s="36"/>
      <c r="D2" s="36"/>
      <c r="E2" s="36"/>
      <c r="F2" s="36"/>
      <c r="G2" s="36"/>
      <c r="H2" s="36"/>
    </row>
    <row r="4" spans="1:8" x14ac:dyDescent="0.25">
      <c r="A4" s="34" t="s">
        <v>56</v>
      </c>
      <c r="B4" s="34"/>
      <c r="C4" s="34"/>
      <c r="D4" s="34"/>
      <c r="E4" s="34"/>
      <c r="F4" s="34"/>
      <c r="G4" s="34"/>
      <c r="H4" s="34"/>
    </row>
    <row r="5" spans="1:8" ht="24" x14ac:dyDescent="0.25">
      <c r="A5" s="2" t="s">
        <v>3</v>
      </c>
      <c r="B5" s="2" t="s">
        <v>57</v>
      </c>
      <c r="C5" s="2" t="s">
        <v>58</v>
      </c>
      <c r="D5" s="2" t="s">
        <v>26</v>
      </c>
      <c r="E5" s="2" t="s">
        <v>27</v>
      </c>
      <c r="F5" s="2" t="s">
        <v>28</v>
      </c>
      <c r="G5" s="2" t="s">
        <v>59</v>
      </c>
      <c r="H5" s="2" t="s">
        <v>60</v>
      </c>
    </row>
    <row r="6" spans="1:8" x14ac:dyDescent="0.25">
      <c r="A6" s="3" t="s">
        <v>11</v>
      </c>
      <c r="B6" s="16">
        <f>'Data &amp; Assumptions'!E6</f>
        <v>205866</v>
      </c>
      <c r="C6" s="17">
        <f>'Data &amp; Assumptions'!F6</f>
        <v>247129</v>
      </c>
      <c r="D6" s="16">
        <f>C6*(1+'Data &amp; Assumptions'!B23)</f>
        <v>281727.06000000006</v>
      </c>
      <c r="E6" s="16">
        <f>D6*(1+'Data &amp; Assumptions'!C23)</f>
        <v>318351.57780000003</v>
      </c>
      <c r="F6" s="16">
        <f>E6*(1+'Data &amp; Assumptions'!D23)</f>
        <v>356553.76713600004</v>
      </c>
      <c r="G6" s="5">
        <f t="shared" ref="G6:G13" si="0">IFERROR((F6/C6)^(1/3)-1,0)</f>
        <v>0.12997050070483707</v>
      </c>
      <c r="H6" t="s">
        <v>61</v>
      </c>
    </row>
    <row r="7" spans="1:8" x14ac:dyDescent="0.25">
      <c r="A7" s="3" t="s">
        <v>62</v>
      </c>
      <c r="B7">
        <f>'Data &amp; Assumptions'!E7</f>
        <v>39882</v>
      </c>
      <c r="C7">
        <f>'Data &amp; Assumptions'!F7</f>
        <v>46000</v>
      </c>
      <c r="D7" s="16">
        <f>C7*(1+'Data &amp; Assumptions'!B24)</f>
        <v>50600.000000000007</v>
      </c>
      <c r="E7" s="16">
        <f>D7*(1+'Data &amp; Assumptions'!C24)</f>
        <v>55154.000000000015</v>
      </c>
      <c r="F7" s="16">
        <f>E7*(1+'Data &amp; Assumptions'!D24)</f>
        <v>60117.860000000022</v>
      </c>
      <c r="G7" s="5">
        <f t="shared" si="0"/>
        <v>9.3323191293321894E-2</v>
      </c>
      <c r="H7" t="s">
        <v>63</v>
      </c>
    </row>
    <row r="8" spans="1:8" x14ac:dyDescent="0.25">
      <c r="A8" s="4" t="s">
        <v>13</v>
      </c>
      <c r="B8" s="18">
        <f>B6+B7</f>
        <v>245748</v>
      </c>
      <c r="C8" s="18">
        <f t="shared" ref="C8:F8" si="1">C6+C7</f>
        <v>293129</v>
      </c>
      <c r="D8" s="18">
        <f t="shared" si="1"/>
        <v>332327.06000000006</v>
      </c>
      <c r="E8" s="18">
        <f t="shared" si="1"/>
        <v>373505.57780000003</v>
      </c>
      <c r="F8" s="18">
        <f t="shared" si="1"/>
        <v>416671.62713600008</v>
      </c>
      <c r="G8" s="19">
        <f t="shared" si="0"/>
        <v>0.12437638086561797</v>
      </c>
      <c r="H8" t="s">
        <v>64</v>
      </c>
    </row>
    <row r="9" spans="1:8" x14ac:dyDescent="0.25">
      <c r="A9" s="3" t="s">
        <v>14</v>
      </c>
      <c r="B9">
        <f>'Data &amp; Assumptions'!E9</f>
        <v>97601</v>
      </c>
      <c r="C9">
        <f>'Data &amp; Assumptions'!F9</f>
        <v>117707</v>
      </c>
      <c r="D9" s="23">
        <f>D8*'Data &amp; Assumptions'!B25</f>
        <v>131269.18870000003</v>
      </c>
      <c r="E9" s="23">
        <f>E8*'Data &amp; Assumptions'!C25</f>
        <v>143799.64745300001</v>
      </c>
      <c r="F9">
        <f>F8*'Data &amp; Assumptions'!D25</f>
        <v>156251.86017600005</v>
      </c>
      <c r="G9" s="5">
        <f t="shared" si="0"/>
        <v>9.9025160674140578E-2</v>
      </c>
      <c r="H9" t="s">
        <v>65</v>
      </c>
    </row>
    <row r="10" spans="1:8" x14ac:dyDescent="0.25">
      <c r="A10" s="3" t="s">
        <v>15</v>
      </c>
      <c r="B10">
        <f>'Data &amp; Assumptions'!E10</f>
        <v>11023</v>
      </c>
      <c r="C10">
        <f>'Data &amp; Assumptions'!F10</f>
        <v>13511</v>
      </c>
      <c r="D10" s="23">
        <f>D8*'Data &amp; Assumptions'!B26</f>
        <v>15287.044760000002</v>
      </c>
      <c r="E10" s="23">
        <f>E8*'Data &amp; Assumptions'!C26</f>
        <v>16434.245423200002</v>
      </c>
      <c r="F10">
        <f>F8*'Data &amp; Assumptions'!D26</f>
        <v>17500.208339712004</v>
      </c>
      <c r="G10" s="5">
        <f t="shared" si="0"/>
        <v>9.0063777323969862E-2</v>
      </c>
      <c r="H10" t="s">
        <v>66</v>
      </c>
    </row>
    <row r="11" spans="1:8" x14ac:dyDescent="0.25">
      <c r="A11" s="22" t="s">
        <v>67</v>
      </c>
      <c r="B11" s="20">
        <f>B8-B9-B10</f>
        <v>137124</v>
      </c>
      <c r="C11" s="20">
        <f t="shared" ref="C11:F11" si="2">C8-C9-C10</f>
        <v>161911</v>
      </c>
      <c r="D11" s="20">
        <f t="shared" si="2"/>
        <v>185770.82654000004</v>
      </c>
      <c r="E11" s="20">
        <f t="shared" si="2"/>
        <v>213271.6849238</v>
      </c>
      <c r="F11" s="20">
        <f t="shared" si="2"/>
        <v>242919.55862028804</v>
      </c>
      <c r="G11" s="21">
        <f t="shared" si="0"/>
        <v>0.14479759772422929</v>
      </c>
      <c r="H11" t="s">
        <v>68</v>
      </c>
    </row>
    <row r="12" spans="1:8" x14ac:dyDescent="0.25">
      <c r="A12" s="3" t="s">
        <v>69</v>
      </c>
      <c r="B12">
        <f>B11*'Data &amp; Assumptions'!B27</f>
        <v>34281</v>
      </c>
      <c r="C12">
        <f>C11*'Data &amp; Assumptions'!C27</f>
        <v>40477.75</v>
      </c>
      <c r="D12">
        <f>D11*'Data &amp; Assumptions'!D27</f>
        <v>46442.70663500001</v>
      </c>
      <c r="E12">
        <f>E11*'Data &amp; Assumptions'!E27</f>
        <v>53317.92123095</v>
      </c>
      <c r="F12">
        <f>F11*'Data &amp; Assumptions'!F27</f>
        <v>60729.889655072009</v>
      </c>
      <c r="G12" s="5">
        <f t="shared" si="0"/>
        <v>0.14479759772422929</v>
      </c>
      <c r="H12" t="s">
        <v>70</v>
      </c>
    </row>
    <row r="13" spans="1:8" x14ac:dyDescent="0.25">
      <c r="A13" s="4" t="s">
        <v>16</v>
      </c>
      <c r="B13" s="20">
        <f>B11-B12</f>
        <v>102843</v>
      </c>
      <c r="C13" s="20">
        <f t="shared" ref="C13:F13" si="3">C11-C12</f>
        <v>121433.25</v>
      </c>
      <c r="D13" s="20">
        <f t="shared" si="3"/>
        <v>139328.11990500003</v>
      </c>
      <c r="E13" s="20">
        <f t="shared" si="3"/>
        <v>159953.76369285001</v>
      </c>
      <c r="F13" s="20">
        <f t="shared" si="3"/>
        <v>182189.66896521603</v>
      </c>
      <c r="G13" s="21">
        <f t="shared" si="0"/>
        <v>0.14479759772422929</v>
      </c>
      <c r="H13" t="s">
        <v>71</v>
      </c>
    </row>
    <row r="15" spans="1:8" x14ac:dyDescent="0.25">
      <c r="A15" s="34" t="s">
        <v>72</v>
      </c>
      <c r="B15" s="34"/>
      <c r="C15" s="34"/>
      <c r="D15" s="34"/>
      <c r="E15" s="34"/>
      <c r="F15" s="34"/>
      <c r="G15" s="34"/>
      <c r="H15" s="34"/>
    </row>
    <row r="16" spans="1:8" ht="24" x14ac:dyDescent="0.25">
      <c r="A16" s="2" t="s">
        <v>3</v>
      </c>
      <c r="B16" s="2" t="s">
        <v>73</v>
      </c>
      <c r="C16" s="2" t="s">
        <v>74</v>
      </c>
      <c r="D16" s="2" t="s">
        <v>75</v>
      </c>
      <c r="E16" s="2" t="s">
        <v>76</v>
      </c>
      <c r="F16" s="2" t="s">
        <v>77</v>
      </c>
      <c r="G16" s="2" t="s">
        <v>78</v>
      </c>
      <c r="H16" s="2" t="s">
        <v>79</v>
      </c>
    </row>
    <row r="17" spans="1:8" x14ac:dyDescent="0.25">
      <c r="A17" s="4" t="s">
        <v>11</v>
      </c>
      <c r="B17">
        <f>'Data &amp; Assumptions'!F6</f>
        <v>247129</v>
      </c>
      <c r="C17">
        <f>('Data &amp; Assumptions'!F6)*(1+'Data &amp; Assumptions'!E23)^3</f>
        <v>311311.36684800003</v>
      </c>
      <c r="D17" s="16">
        <f>F6</f>
        <v>356553.76713600004</v>
      </c>
      <c r="E17">
        <f>('Data &amp; Assumptions'!F6)*(1+'Data &amp; Assumptions'!G23)^3</f>
        <v>395805.01907699992</v>
      </c>
      <c r="F17" s="24">
        <f>IFERROR(C17/D17-1,0)</f>
        <v>-0.12688801650143056</v>
      </c>
      <c r="G17" s="24">
        <f>IFERROR(E17/D17-1,0)</f>
        <v>0.11008508550136376</v>
      </c>
      <c r="H17" t="s">
        <v>81</v>
      </c>
    </row>
    <row r="18" spans="1:8" x14ac:dyDescent="0.25">
      <c r="A18" s="4" t="s">
        <v>13</v>
      </c>
      <c r="B18">
        <f>'Data &amp; Assumptions'!F8</f>
        <v>293129</v>
      </c>
      <c r="C18">
        <f>C17+('Data &amp; Assumptions'!F7)*(1+'Data &amp; Assumptions'!E24)^3</f>
        <v>366098.10284800007</v>
      </c>
      <c r="D18" s="16">
        <f>F8</f>
        <v>416671.62713600008</v>
      </c>
      <c r="E18">
        <f>E17+('Data &amp; Assumptions'!F7)*(1+'Data &amp; Assumptions'!G24)^3</f>
        <v>462178.28107699991</v>
      </c>
      <c r="F18" s="24">
        <f>IFERROR(C18/D18-1,0)</f>
        <v>-0.12137501330632483</v>
      </c>
      <c r="G18" s="24">
        <f>IFERROR(E18/D18-1,0)</f>
        <v>0.10921466924395751</v>
      </c>
      <c r="H18" t="s">
        <v>80</v>
      </c>
    </row>
    <row r="19" spans="1:8" x14ac:dyDescent="0.25">
      <c r="A19" s="4" t="s">
        <v>16</v>
      </c>
      <c r="B19">
        <f>'Data &amp; Assumptions'!F11</f>
        <v>121420</v>
      </c>
      <c r="C19">
        <f>C18*(1-'Data &amp; Assumptions'!E25)*(1-'Data &amp; Assumptions'!E26)*0.75</f>
        <v>149697.51425454725</v>
      </c>
      <c r="D19" s="16">
        <f>F13</f>
        <v>182189.66896521603</v>
      </c>
      <c r="E19">
        <f>E18*(1-'Data &amp; Assumptions'!G25)*(1-'Data &amp; Assumptions'!G26)*0.75</f>
        <v>214080.97979486635</v>
      </c>
      <c r="F19" s="24">
        <f>IFERROR(C19/D19-1,0)</f>
        <v>-0.17834246527377051</v>
      </c>
      <c r="G19" s="24">
        <f>IFERROR(E19/D19-1,0)</f>
        <v>0.17504456213562292</v>
      </c>
      <c r="H19" t="s">
        <v>82</v>
      </c>
    </row>
    <row r="20" spans="1:8" x14ac:dyDescent="0.25">
      <c r="A20" s="4" t="s">
        <v>83</v>
      </c>
      <c r="B20" s="24">
        <f>'Data &amp; Assumptions'!F18</f>
        <v>0.17</v>
      </c>
      <c r="C20" s="24">
        <f>'Data &amp; Assumptions'!E18</f>
        <v>0.17599999999999999</v>
      </c>
      <c r="D20" s="24">
        <f>'Data &amp; Assumptions'!F18</f>
        <v>0.17</v>
      </c>
      <c r="E20" s="24">
        <f>'Data &amp; Assumptions'!G18</f>
        <v>3.5253724192270131E-2</v>
      </c>
      <c r="F20" s="24">
        <f>IFERROR(C20/D20-1,0)</f>
        <v>3.5294117647058698E-2</v>
      </c>
      <c r="G20" s="24">
        <f>IFERROR(E20/D20-1,0)</f>
        <v>-0.79262515181017568</v>
      </c>
      <c r="H20" t="s">
        <v>84</v>
      </c>
    </row>
    <row r="21" spans="1:8" x14ac:dyDescent="0.25">
      <c r="A21" s="4" t="s">
        <v>85</v>
      </c>
      <c r="B21" s="24">
        <f>'Data &amp; Assumptions'!F19</f>
        <v>1.24E-2</v>
      </c>
      <c r="C21" s="24">
        <f>'Data &amp; Assumptions'!E19</f>
        <v>1.12E-2</v>
      </c>
      <c r="D21" s="24">
        <f>'Data &amp; Assumptions'!F19</f>
        <v>1.24E-2</v>
      </c>
      <c r="E21" s="24">
        <f>'Data &amp; Assumptions'!G19</f>
        <v>-3.9920956519505779E-3</v>
      </c>
      <c r="F21" s="24">
        <f>IFERROR(C21/D21-1,0)</f>
        <v>-9.6774193548387122E-2</v>
      </c>
      <c r="G21" s="24">
        <f>IFERROR(E21/D21-1,0)</f>
        <v>-1.3219431977379499</v>
      </c>
      <c r="H21" t="s">
        <v>86</v>
      </c>
    </row>
    <row r="1048576" spans="7:7" x14ac:dyDescent="0.25">
      <c r="G1048576" s="5" t="s">
        <v>17</v>
      </c>
    </row>
  </sheetData>
  <mergeCells count="4">
    <mergeCell ref="A1:H1"/>
    <mergeCell ref="A2:H2"/>
    <mergeCell ref="A4:H4"/>
    <mergeCell ref="A15:H1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C82AC1-EB51-4B7B-A539-B3587D3B27BF}">
  <dimension ref="A1:H26"/>
  <sheetViews>
    <sheetView tabSelected="1" zoomScale="90" zoomScaleNormal="90" workbookViewId="0">
      <selection activeCell="A27" sqref="A27"/>
    </sheetView>
  </sheetViews>
  <sheetFormatPr defaultRowHeight="15" x14ac:dyDescent="0.25"/>
  <cols>
    <col min="1" max="1" width="25.28515625" bestFit="1" customWidth="1"/>
    <col min="2" max="2" width="9" customWidth="1"/>
    <col min="6" max="6" width="81.140625" bestFit="1" customWidth="1"/>
    <col min="8" max="8" width="151.42578125" bestFit="1" customWidth="1"/>
  </cols>
  <sheetData>
    <row r="1" spans="1:8" ht="16.5" x14ac:dyDescent="0.25">
      <c r="A1" s="35" t="s">
        <v>87</v>
      </c>
      <c r="B1" s="35"/>
      <c r="C1" s="35"/>
      <c r="D1" s="35"/>
      <c r="E1" s="35"/>
      <c r="F1" s="35"/>
    </row>
    <row r="2" spans="1:8" x14ac:dyDescent="0.25">
      <c r="A2" s="36" t="s">
        <v>88</v>
      </c>
      <c r="B2" s="36"/>
      <c r="C2" s="36"/>
      <c r="D2" s="36"/>
      <c r="E2" s="36"/>
      <c r="F2" s="36"/>
    </row>
    <row r="4" spans="1:8" x14ac:dyDescent="0.25">
      <c r="A4" s="34" t="s">
        <v>89</v>
      </c>
      <c r="B4" s="34"/>
      <c r="C4" s="34"/>
      <c r="D4" s="34"/>
      <c r="E4" s="34"/>
      <c r="F4" s="34"/>
    </row>
    <row r="5" spans="1:8" ht="53.25" customHeight="1" x14ac:dyDescent="0.25">
      <c r="A5" s="2" t="s">
        <v>3</v>
      </c>
      <c r="B5" s="2" t="s">
        <v>90</v>
      </c>
      <c r="C5" s="2" t="s">
        <v>91</v>
      </c>
      <c r="D5" s="2" t="s">
        <v>92</v>
      </c>
      <c r="E5" s="2" t="s">
        <v>93</v>
      </c>
      <c r="F5" s="25" t="s">
        <v>97</v>
      </c>
    </row>
    <row r="6" spans="1:8" x14ac:dyDescent="0.25">
      <c r="A6" s="4" t="s">
        <v>94</v>
      </c>
      <c r="B6" s="26">
        <v>238000</v>
      </c>
      <c r="C6" s="26">
        <v>247129</v>
      </c>
      <c r="D6" s="27">
        <f>C6-B6</f>
        <v>9129</v>
      </c>
      <c r="E6" s="24">
        <f>IFERROR((C6-B6)/B6,0)</f>
        <v>3.835714285714286E-2</v>
      </c>
      <c r="F6" s="38" t="s">
        <v>117</v>
      </c>
      <c r="G6" s="38"/>
      <c r="H6" s="38"/>
    </row>
    <row r="7" spans="1:8" x14ac:dyDescent="0.25">
      <c r="A7" s="4" t="s">
        <v>62</v>
      </c>
      <c r="B7" s="26">
        <v>43000</v>
      </c>
      <c r="C7" s="26">
        <v>46000</v>
      </c>
      <c r="D7" s="27">
        <f t="shared" ref="D7:D11" si="0">C7-B7</f>
        <v>3000</v>
      </c>
      <c r="E7" s="24">
        <f t="shared" ref="E7:E11" si="1">IFERROR((C7-B7)/B7,0)</f>
        <v>6.9767441860465115E-2</v>
      </c>
      <c r="F7" s="30" t="s">
        <v>118</v>
      </c>
      <c r="G7" s="30"/>
      <c r="H7" s="30"/>
    </row>
    <row r="8" spans="1:8" x14ac:dyDescent="0.25">
      <c r="A8" s="4" t="s">
        <v>13</v>
      </c>
      <c r="B8" s="26">
        <v>281000</v>
      </c>
      <c r="C8" s="26">
        <v>293129</v>
      </c>
      <c r="D8" s="27">
        <f t="shared" si="0"/>
        <v>12129</v>
      </c>
      <c r="E8" s="24">
        <f t="shared" si="1"/>
        <v>4.3163701067615655E-2</v>
      </c>
      <c r="F8" s="30" t="s">
        <v>119</v>
      </c>
      <c r="G8" s="30"/>
      <c r="H8" s="30"/>
    </row>
    <row r="9" spans="1:8" x14ac:dyDescent="0.25">
      <c r="A9" s="4" t="s">
        <v>14</v>
      </c>
      <c r="B9" s="26">
        <v>110000</v>
      </c>
      <c r="C9" s="26">
        <v>117707</v>
      </c>
      <c r="D9" s="27">
        <f t="shared" si="0"/>
        <v>7707</v>
      </c>
      <c r="E9" s="24">
        <f t="shared" si="1"/>
        <v>7.006363636363637E-2</v>
      </c>
      <c r="F9" s="30" t="s">
        <v>120</v>
      </c>
      <c r="G9" s="30"/>
      <c r="H9" s="30"/>
    </row>
    <row r="10" spans="1:8" x14ac:dyDescent="0.25">
      <c r="A10" s="4" t="s">
        <v>95</v>
      </c>
      <c r="B10" s="26">
        <v>11500</v>
      </c>
      <c r="C10" s="26">
        <v>13511</v>
      </c>
      <c r="D10" s="27">
        <f t="shared" si="0"/>
        <v>2011</v>
      </c>
      <c r="E10" s="24">
        <f t="shared" si="1"/>
        <v>0.1748695652173913</v>
      </c>
      <c r="F10" s="30" t="s">
        <v>121</v>
      </c>
      <c r="G10" s="30"/>
      <c r="H10" s="30"/>
    </row>
    <row r="11" spans="1:8" x14ac:dyDescent="0.25">
      <c r="A11" s="4" t="s">
        <v>96</v>
      </c>
      <c r="B11" s="26">
        <v>118000</v>
      </c>
      <c r="C11" s="26">
        <v>121420</v>
      </c>
      <c r="D11" s="27">
        <f t="shared" si="0"/>
        <v>3420</v>
      </c>
      <c r="E11" s="24">
        <f t="shared" si="1"/>
        <v>2.8983050847457628E-2</v>
      </c>
      <c r="F11" s="30" t="s">
        <v>122</v>
      </c>
      <c r="G11" s="30"/>
      <c r="H11" s="30"/>
    </row>
    <row r="13" spans="1:8" x14ac:dyDescent="0.25">
      <c r="A13" s="37" t="s">
        <v>98</v>
      </c>
      <c r="B13" s="37"/>
      <c r="C13" s="37"/>
      <c r="D13" s="37"/>
      <c r="E13" s="37"/>
      <c r="F13" s="37"/>
    </row>
    <row r="14" spans="1:8" ht="15" customHeight="1" x14ac:dyDescent="0.25">
      <c r="A14" s="28" t="s">
        <v>99</v>
      </c>
      <c r="B14" s="40" t="s">
        <v>100</v>
      </c>
      <c r="C14" s="39"/>
      <c r="D14" s="39"/>
      <c r="E14" s="39"/>
      <c r="F14" s="39"/>
      <c r="G14" s="39"/>
      <c r="H14" s="39"/>
    </row>
    <row r="15" spans="1:8" x14ac:dyDescent="0.25">
      <c r="A15" s="28" t="s">
        <v>101</v>
      </c>
      <c r="B15" s="40" t="s">
        <v>102</v>
      </c>
      <c r="C15" s="39"/>
      <c r="D15" s="39"/>
      <c r="E15" s="39"/>
      <c r="F15" s="39"/>
      <c r="G15" s="39"/>
      <c r="H15" s="39"/>
    </row>
    <row r="16" spans="1:8" x14ac:dyDescent="0.25">
      <c r="A16" s="28" t="s">
        <v>103</v>
      </c>
      <c r="B16" s="29" t="s">
        <v>104</v>
      </c>
      <c r="C16" s="29"/>
      <c r="D16" s="29"/>
      <c r="E16" s="29"/>
      <c r="F16" s="29"/>
      <c r="G16" s="29"/>
      <c r="H16" s="29"/>
    </row>
    <row r="17" spans="1:8" x14ac:dyDescent="0.25">
      <c r="A17" s="28" t="s">
        <v>105</v>
      </c>
      <c r="B17" s="29" t="s">
        <v>106</v>
      </c>
      <c r="C17" s="29"/>
      <c r="D17" s="29"/>
      <c r="E17" s="29"/>
      <c r="F17" s="29"/>
      <c r="G17" s="29"/>
      <c r="H17" s="29"/>
    </row>
    <row r="18" spans="1:8" x14ac:dyDescent="0.25">
      <c r="A18" s="28" t="s">
        <v>107</v>
      </c>
      <c r="B18" s="29" t="s">
        <v>108</v>
      </c>
      <c r="C18" s="29"/>
      <c r="D18" s="29"/>
      <c r="E18" s="29"/>
      <c r="F18" s="29"/>
      <c r="G18" s="29"/>
      <c r="H18" s="29"/>
    </row>
    <row r="19" spans="1:8" x14ac:dyDescent="0.25">
      <c r="A19" s="37" t="s">
        <v>109</v>
      </c>
      <c r="B19" s="37"/>
      <c r="C19" s="37"/>
      <c r="D19" s="37"/>
      <c r="E19" s="37"/>
      <c r="F19" s="37"/>
    </row>
    <row r="20" spans="1:8" x14ac:dyDescent="0.25">
      <c r="A20" s="39" t="s">
        <v>110</v>
      </c>
      <c r="B20" s="39"/>
      <c r="C20" s="39"/>
      <c r="D20" s="39"/>
      <c r="E20" s="39"/>
      <c r="F20" s="39"/>
      <c r="G20" s="39"/>
      <c r="H20" s="39"/>
    </row>
    <row r="21" spans="1:8" x14ac:dyDescent="0.25">
      <c r="A21" s="29" t="s">
        <v>111</v>
      </c>
      <c r="B21" s="29"/>
      <c r="C21" s="29"/>
      <c r="D21" s="29"/>
      <c r="E21" s="29"/>
      <c r="F21" s="29"/>
      <c r="G21" s="29"/>
      <c r="H21" s="29"/>
    </row>
    <row r="22" spans="1:8" x14ac:dyDescent="0.25">
      <c r="A22" s="29" t="s">
        <v>112</v>
      </c>
      <c r="B22" s="29"/>
      <c r="C22" s="29"/>
      <c r="D22" s="29"/>
      <c r="E22" s="29"/>
      <c r="F22" s="29"/>
      <c r="G22" s="29"/>
      <c r="H22" s="29"/>
    </row>
    <row r="23" spans="1:8" x14ac:dyDescent="0.25">
      <c r="A23" s="29" t="s">
        <v>113</v>
      </c>
      <c r="B23" s="29"/>
      <c r="C23" s="29"/>
      <c r="D23" s="29"/>
      <c r="E23" s="29"/>
      <c r="F23" s="29"/>
      <c r="G23" s="29"/>
      <c r="H23" s="29"/>
    </row>
    <row r="24" spans="1:8" x14ac:dyDescent="0.25">
      <c r="A24" s="29" t="s">
        <v>114</v>
      </c>
      <c r="B24" s="29"/>
      <c r="C24" s="29"/>
      <c r="D24" s="29"/>
      <c r="E24" s="29"/>
      <c r="F24" s="29"/>
      <c r="G24" s="29"/>
      <c r="H24" s="29"/>
    </row>
    <row r="25" spans="1:8" x14ac:dyDescent="0.25">
      <c r="A25" s="29" t="s">
        <v>115</v>
      </c>
      <c r="B25" s="29"/>
      <c r="C25" s="29"/>
      <c r="D25" s="29"/>
      <c r="E25" s="29"/>
      <c r="F25" s="29"/>
      <c r="G25" s="29"/>
      <c r="H25" s="29"/>
    </row>
    <row r="26" spans="1:8" ht="15" customHeight="1" x14ac:dyDescent="0.25">
      <c r="A26" s="41" t="s">
        <v>116</v>
      </c>
      <c r="B26" s="41"/>
      <c r="C26" s="41"/>
      <c r="D26" s="41"/>
      <c r="E26" s="41"/>
      <c r="F26" s="41"/>
      <c r="G26" s="41"/>
      <c r="H26" s="41"/>
    </row>
  </sheetData>
  <mergeCells count="10">
    <mergeCell ref="A20:H20"/>
    <mergeCell ref="A26:H26"/>
    <mergeCell ref="A19:F19"/>
    <mergeCell ref="B14:H14"/>
    <mergeCell ref="B15:H15"/>
    <mergeCell ref="A1:F1"/>
    <mergeCell ref="A2:F2"/>
    <mergeCell ref="A4:F4"/>
    <mergeCell ref="A13:F13"/>
    <mergeCell ref="F6:H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 &amp; Assumptions</vt:lpstr>
      <vt:lpstr>Forecast &amp; Scenarios</vt:lpstr>
      <vt:lpstr>Summary &amp; Insight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omadhav5757@gmail.com</dc:creator>
  <cp:lastModifiedBy>omadhav5757@gmail.com</cp:lastModifiedBy>
  <dcterms:created xsi:type="dcterms:W3CDTF">2026-03-22T09:18:16Z</dcterms:created>
  <dcterms:modified xsi:type="dcterms:W3CDTF">2026-03-24T11:39:01Z</dcterms:modified>
</cp:coreProperties>
</file>